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6722"/>
  <workbookPr autoCompressPictures="0"/>
  <bookViews>
    <workbookView xWindow="0" yWindow="0" windowWidth="16400" windowHeight="5560" activeTab="1"/>
  </bookViews>
  <sheets>
    <sheet name="Sheet1" sheetId="1" r:id="rId1"/>
    <sheet name="Sheet2" sheetId="2" r:id="rId2"/>
    <sheet name="Sheet3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2" i="2" l="1"/>
  <c r="J17" i="2"/>
  <c r="F17" i="2"/>
  <c r="J16" i="2"/>
  <c r="E16" i="2"/>
  <c r="J15" i="2"/>
  <c r="H15" i="2"/>
  <c r="J10" i="2"/>
  <c r="F10" i="2"/>
  <c r="G10" i="2"/>
  <c r="H10" i="2"/>
  <c r="I10" i="2"/>
  <c r="D10" i="2"/>
  <c r="J11" i="2"/>
  <c r="F11" i="2"/>
  <c r="E10" i="2"/>
  <c r="D7" i="2"/>
  <c r="E7" i="2"/>
  <c r="F7" i="2"/>
  <c r="G7" i="2"/>
  <c r="H7" i="2"/>
  <c r="I7" i="2"/>
  <c r="J5" i="2"/>
  <c r="J4" i="2"/>
  <c r="E12" i="2"/>
  <c r="I12" i="2"/>
  <c r="G11" i="2"/>
  <c r="H11" i="2"/>
  <c r="F40" i="2"/>
  <c r="G24" i="2"/>
  <c r="G40" i="2"/>
  <c r="H23" i="2"/>
  <c r="H24" i="2"/>
  <c r="H34" i="2"/>
  <c r="H40" i="2"/>
  <c r="I40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23" i="2"/>
  <c r="E24" i="2"/>
  <c r="E40" i="2"/>
  <c r="D24" i="2"/>
  <c r="J24" i="2"/>
  <c r="E101" i="1"/>
  <c r="E97" i="1"/>
  <c r="E99" i="1"/>
  <c r="C83" i="1"/>
  <c r="D75" i="1"/>
  <c r="D76" i="1"/>
  <c r="E73" i="1"/>
  <c r="E74" i="1"/>
  <c r="E72" i="1"/>
  <c r="C75" i="1"/>
  <c r="C76" i="1"/>
  <c r="D61" i="1"/>
  <c r="C61" i="1"/>
  <c r="E61" i="1"/>
  <c r="E62" i="1"/>
  <c r="E59" i="1"/>
  <c r="D63" i="1"/>
  <c r="C63" i="1"/>
  <c r="E63" i="1"/>
  <c r="C60" i="1"/>
  <c r="C64" i="1"/>
  <c r="C65" i="1"/>
  <c r="D60" i="1"/>
  <c r="D64" i="1"/>
  <c r="D65" i="1"/>
  <c r="D55" i="1"/>
  <c r="D54" i="1"/>
  <c r="D53" i="1"/>
  <c r="C43" i="1"/>
  <c r="E41" i="1"/>
  <c r="D41" i="1"/>
  <c r="D40" i="1"/>
  <c r="E40" i="1"/>
  <c r="D39" i="1"/>
  <c r="D43" i="1"/>
  <c r="G18" i="1"/>
  <c r="G17" i="1"/>
  <c r="H14" i="1"/>
  <c r="F14" i="1"/>
  <c r="F15" i="1"/>
  <c r="F16" i="1"/>
  <c r="F19" i="1"/>
  <c r="F20" i="1"/>
  <c r="E14" i="1"/>
  <c r="E15" i="1"/>
  <c r="E16" i="1"/>
  <c r="E19" i="1"/>
  <c r="E20" i="1"/>
  <c r="D14" i="1"/>
  <c r="C14" i="1"/>
  <c r="H16" i="1"/>
  <c r="D16" i="1"/>
  <c r="C16" i="1"/>
  <c r="G16" i="1"/>
  <c r="H15" i="1"/>
  <c r="D15" i="1"/>
  <c r="C15" i="1"/>
  <c r="G15" i="1"/>
  <c r="C10" i="1"/>
  <c r="J7" i="2"/>
  <c r="K23" i="2"/>
  <c r="K4" i="2"/>
  <c r="K5" i="2"/>
  <c r="K38" i="2"/>
  <c r="K24" i="2"/>
  <c r="K37" i="2"/>
  <c r="K29" i="2"/>
  <c r="K36" i="2"/>
  <c r="K28" i="2"/>
  <c r="C19" i="1"/>
  <c r="C20" i="1"/>
  <c r="E39" i="1"/>
  <c r="E43" i="1"/>
  <c r="D16" i="2"/>
  <c r="G16" i="2"/>
  <c r="F16" i="2"/>
  <c r="K16" i="2"/>
  <c r="D40" i="2"/>
  <c r="J40" i="2"/>
  <c r="K40" i="2"/>
  <c r="I17" i="2"/>
  <c r="K17" i="2"/>
  <c r="E60" i="1"/>
  <c r="H17" i="2"/>
  <c r="G14" i="1"/>
  <c r="D19" i="1"/>
  <c r="D20" i="1"/>
  <c r="G17" i="2"/>
  <c r="E76" i="1"/>
  <c r="D11" i="1"/>
  <c r="E75" i="1"/>
  <c r="E64" i="1"/>
  <c r="E17" i="2"/>
  <c r="D17" i="2"/>
  <c r="H16" i="2"/>
  <c r="H18" i="2"/>
  <c r="I16" i="2"/>
  <c r="J18" i="2"/>
  <c r="K18" i="2"/>
  <c r="I15" i="2"/>
  <c r="F15" i="2"/>
  <c r="K15" i="2"/>
  <c r="G15" i="2"/>
  <c r="G18" i="2"/>
  <c r="E15" i="2"/>
  <c r="E18" i="2"/>
  <c r="D15" i="2"/>
  <c r="D12" i="2"/>
  <c r="D11" i="2"/>
  <c r="D13" i="2"/>
  <c r="F12" i="2"/>
  <c r="F13" i="2"/>
  <c r="G12" i="2"/>
  <c r="H12" i="2"/>
  <c r="I11" i="2"/>
  <c r="E11" i="2"/>
  <c r="G13" i="2"/>
  <c r="K10" i="2"/>
  <c r="J13" i="2"/>
  <c r="K13" i="2"/>
  <c r="F18" i="2"/>
  <c r="F20" i="2"/>
  <c r="F41" i="2"/>
  <c r="F44" i="2"/>
  <c r="K31" i="2"/>
  <c r="K39" i="2"/>
  <c r="K32" i="2"/>
  <c r="K11" i="2"/>
  <c r="K25" i="2"/>
  <c r="K33" i="2"/>
  <c r="K26" i="2"/>
  <c r="K34" i="2"/>
  <c r="K27" i="2"/>
  <c r="K35" i="2"/>
  <c r="K12" i="2"/>
  <c r="K7" i="2"/>
  <c r="I18" i="2"/>
  <c r="G19" i="1"/>
  <c r="G20" i="1"/>
  <c r="K30" i="2"/>
  <c r="D18" i="2"/>
  <c r="D20" i="2"/>
  <c r="D41" i="2"/>
  <c r="G20" i="2"/>
  <c r="G41" i="2"/>
  <c r="G44" i="2"/>
  <c r="H13" i="2"/>
  <c r="H20" i="2"/>
  <c r="H41" i="2"/>
  <c r="H44" i="2"/>
  <c r="J20" i="2"/>
  <c r="I13" i="2"/>
  <c r="E13" i="2"/>
  <c r="E20" i="2"/>
  <c r="E41" i="2"/>
  <c r="E44" i="2"/>
  <c r="I20" i="2"/>
  <c r="I41" i="2"/>
  <c r="I44" i="2"/>
  <c r="K20" i="2"/>
  <c r="J44" i="2"/>
  <c r="K44" i="2"/>
  <c r="J41" i="2"/>
  <c r="K41" i="2"/>
  <c r="D44" i="2"/>
  <c r="E45" i="2"/>
  <c r="F45" i="2"/>
  <c r="G45" i="2"/>
  <c r="H45" i="2"/>
  <c r="I45" i="2"/>
</calcChain>
</file>

<file path=xl/sharedStrings.xml><?xml version="1.0" encoding="utf-8"?>
<sst xmlns="http://schemas.openxmlformats.org/spreadsheetml/2006/main" count="149" uniqueCount="128">
  <si>
    <t>Aging</t>
  </si>
  <si>
    <t>Accounts Receivable</t>
  </si>
  <si>
    <t>0-30</t>
  </si>
  <si>
    <t>31-60</t>
  </si>
  <si>
    <t>61-90</t>
  </si>
  <si>
    <t>Over 90</t>
  </si>
  <si>
    <t>as of 2/20/13</t>
  </si>
  <si>
    <t>Top 5 A/R by Payer</t>
  </si>
  <si>
    <t>Medicare</t>
  </si>
  <si>
    <t>Medicaid</t>
  </si>
  <si>
    <t>BC/BS</t>
  </si>
  <si>
    <t>Medcost</t>
  </si>
  <si>
    <t>Self Pay</t>
  </si>
  <si>
    <t>Total</t>
  </si>
  <si>
    <t>% of Total A/R</t>
  </si>
  <si>
    <t>% of Aging</t>
  </si>
  <si>
    <t>On review</t>
  </si>
  <si>
    <t xml:space="preserve">1. Over 57% of A/R will be difficult if not impossible to collect. The $90,000 maybe </t>
  </si>
  <si>
    <t>worth $30,000 (or less)</t>
  </si>
  <si>
    <t>2. 86% of all A/R is in 5 payer classes. This is where I would put my limited collection</t>
  </si>
  <si>
    <t>resources</t>
  </si>
  <si>
    <t>3. Total cash value of the existing A/R is probably not more than $70,000 (at best)</t>
  </si>
  <si>
    <t>Claims Processing</t>
  </si>
  <si>
    <t>Outstanding Claims</t>
  </si>
  <si>
    <t>Total Claims Due</t>
  </si>
  <si>
    <t>Total Patient count</t>
  </si>
  <si>
    <t>Number of</t>
  </si>
  <si>
    <t>Claims</t>
  </si>
  <si>
    <t>Amount of</t>
  </si>
  <si>
    <t>% of Total</t>
  </si>
  <si>
    <t>Top 4 due by Payer</t>
  </si>
  <si>
    <t>1. If Medicare, Medicaid and BCBS are worked, open claim will diminish</t>
  </si>
  <si>
    <t>2. There is a direct correlation between open claims and accounts receivable</t>
  </si>
  <si>
    <t>between 7/1/12 and 12/31/12 (6 months)</t>
  </si>
  <si>
    <t>Distinct Patients</t>
  </si>
  <si>
    <t>Total Visits</t>
  </si>
  <si>
    <t>Average Visits per patient</t>
  </si>
  <si>
    <t>Ave Patient per Month</t>
  </si>
  <si>
    <t>Ave Visits per Month</t>
  </si>
  <si>
    <t>Visit History</t>
  </si>
  <si>
    <t>Top 5 by payer</t>
  </si>
  <si>
    <t>BCBS</t>
  </si>
  <si>
    <t>MAP</t>
  </si>
  <si>
    <t>Visits</t>
  </si>
  <si>
    <t>Patients</t>
  </si>
  <si>
    <t>Visit/Pat</t>
  </si>
  <si>
    <t>% Total</t>
  </si>
  <si>
    <t>1. The most interesting thing is BCBS is well below the average number of visits per</t>
  </si>
  <si>
    <t>patient. Maybe the patients are not as chronic?</t>
  </si>
  <si>
    <t>Visits and Charges by Provider</t>
  </si>
  <si>
    <t>Charges</t>
  </si>
  <si>
    <t>Charge/Visit</t>
  </si>
  <si>
    <t>Average</t>
  </si>
  <si>
    <t>Months in A/R</t>
  </si>
  <si>
    <t>New Patients</t>
  </si>
  <si>
    <t>Top 10 Diagnosis Codes</t>
  </si>
  <si>
    <t>250.00</t>
  </si>
  <si>
    <t>Dx</t>
  </si>
  <si>
    <t>Description</t>
  </si>
  <si>
    <t>Quantity</t>
  </si>
  <si>
    <t>Diabetes w/o complications</t>
  </si>
  <si>
    <t>244.9</t>
  </si>
  <si>
    <t>Unspecified Hypothyrodism</t>
  </si>
  <si>
    <t>272.0</t>
  </si>
  <si>
    <t>High Cholesterol</t>
  </si>
  <si>
    <t>311</t>
  </si>
  <si>
    <t>Depressive Disorder</t>
  </si>
  <si>
    <t>401.1</t>
  </si>
  <si>
    <t>Hypertension</t>
  </si>
  <si>
    <t>414.00</t>
  </si>
  <si>
    <t>Coronary Athrosclorosis</t>
  </si>
  <si>
    <t>466.0</t>
  </si>
  <si>
    <t>Acute Bronchitis</t>
  </si>
  <si>
    <t>496</t>
  </si>
  <si>
    <t>COPD</t>
  </si>
  <si>
    <t>530.10</t>
  </si>
  <si>
    <t>ReFlux Esophagitis</t>
  </si>
  <si>
    <t>724.2</t>
  </si>
  <si>
    <t>Lumbago</t>
  </si>
  <si>
    <t>Top 10 total</t>
  </si>
  <si>
    <t>Total Diagnosis Count</t>
  </si>
  <si>
    <t>Top 10 Percent</t>
  </si>
  <si>
    <t>Total Distinct Diagnosis</t>
  </si>
  <si>
    <t>1. 2% of the diagnosis codes account for 45% of the utilization</t>
  </si>
  <si>
    <t>Revenue</t>
  </si>
  <si>
    <t>Payroll</t>
  </si>
  <si>
    <t>Providers</t>
  </si>
  <si>
    <t>Clinical Staff</t>
  </si>
  <si>
    <t>Clerical Staff</t>
  </si>
  <si>
    <t>July</t>
  </si>
  <si>
    <t>August</t>
  </si>
  <si>
    <t>September</t>
  </si>
  <si>
    <t>October</t>
  </si>
  <si>
    <t>November</t>
  </si>
  <si>
    <t>December</t>
  </si>
  <si>
    <t>Providers Taxes</t>
  </si>
  <si>
    <t>Clinical Taxes</t>
  </si>
  <si>
    <t>Clerical Taxes</t>
  </si>
  <si>
    <t>Operating</t>
  </si>
  <si>
    <t>Insurance</t>
  </si>
  <si>
    <t>Fringe</t>
  </si>
  <si>
    <t>Accounting</t>
  </si>
  <si>
    <t>Internet</t>
  </si>
  <si>
    <t>Telephone</t>
  </si>
  <si>
    <t>Dues/Subscriptions</t>
  </si>
  <si>
    <t>Malpractice Ins</t>
  </si>
  <si>
    <t>Liability</t>
  </si>
  <si>
    <t>Misc</t>
  </si>
  <si>
    <t>Supplies Office</t>
  </si>
  <si>
    <t>Supplies Medical</t>
  </si>
  <si>
    <t>Equipment Rental</t>
  </si>
  <si>
    <t>Facility costs</t>
  </si>
  <si>
    <t>Utilities</t>
  </si>
  <si>
    <t>Computer</t>
  </si>
  <si>
    <t>Postage</t>
  </si>
  <si>
    <t>Totals</t>
  </si>
  <si>
    <t>Profit/(Loss)</t>
  </si>
  <si>
    <t>% to Revenue</t>
  </si>
  <si>
    <t>Contract Other</t>
  </si>
  <si>
    <t>Patient</t>
  </si>
  <si>
    <t>Other</t>
  </si>
  <si>
    <t>Total Expenses</t>
  </si>
  <si>
    <t>Cummulative</t>
  </si>
  <si>
    <t>Provider #1</t>
  </si>
  <si>
    <t>Provider #2</t>
  </si>
  <si>
    <t>Provider #3</t>
  </si>
  <si>
    <t>MVMC</t>
  </si>
  <si>
    <t>as of MM/DD/YYY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</si>
</sst>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Arial"/>
      <family val="2"/>
    </font>
    <font>
      <u val="singleAccounting"/>
      <sz val="11"/>
      <color theme="1"/>
      <name val="Arial"/>
      <family val="2"/>
    </font>
    <font>
      <u/>
      <sz val="11"/>
      <color theme="1"/>
      <name val="Arial"/>
      <family val="2"/>
    </font>
    <font>
      <i/>
      <sz val="11"/>
      <color theme="1"/>
      <name val="Arial"/>
      <family val="2"/>
    </font>
    <font>
      <b/>
      <i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7">
    <xf numFmtId="0" fontId="0" fillId="0" borderId="0" xfId="0"/>
    <xf numFmtId="44" fontId="0" fillId="0" borderId="0" xfId="1" applyFont="1"/>
    <xf numFmtId="10" fontId="0" fillId="0" borderId="0" xfId="0" applyNumberFormat="1"/>
    <xf numFmtId="10" fontId="0" fillId="0" borderId="0" xfId="2" applyNumberFormat="1" applyFont="1"/>
    <xf numFmtId="44" fontId="0" fillId="0" borderId="0" xfId="0" applyNumberFormat="1"/>
    <xf numFmtId="0" fontId="2" fillId="0" borderId="0" xfId="0" applyFont="1"/>
    <xf numFmtId="2" fontId="0" fillId="0" borderId="0" xfId="0" applyNumberFormat="1"/>
    <xf numFmtId="1" fontId="0" fillId="0" borderId="0" xfId="0" applyNumberFormat="1"/>
    <xf numFmtId="0" fontId="3" fillId="0" borderId="0" xfId="0" applyFont="1"/>
    <xf numFmtId="0" fontId="0" fillId="0" borderId="0" xfId="0" quotePrefix="1"/>
    <xf numFmtId="0" fontId="0" fillId="0" borderId="1" xfId="0" applyBorder="1"/>
    <xf numFmtId="0" fontId="0" fillId="0" borderId="2" xfId="0" applyBorder="1"/>
    <xf numFmtId="9" fontId="0" fillId="0" borderId="3" xfId="2" applyFont="1" applyBorder="1"/>
    <xf numFmtId="0" fontId="0" fillId="0" borderId="4" xfId="0" applyBorder="1"/>
    <xf numFmtId="0" fontId="4" fillId="0" borderId="0" xfId="0" applyFont="1"/>
    <xf numFmtId="44" fontId="4" fillId="0" borderId="0" xfId="1" applyFont="1"/>
    <xf numFmtId="44" fontId="5" fillId="0" borderId="0" xfId="1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/>
    <xf numFmtId="44" fontId="4" fillId="0" borderId="0" xfId="0" applyNumberFormat="1" applyFont="1"/>
    <xf numFmtId="10" fontId="4" fillId="0" borderId="0" xfId="2" applyNumberFormat="1" applyFont="1"/>
    <xf numFmtId="0" fontId="7" fillId="0" borderId="0" xfId="0" applyFont="1"/>
    <xf numFmtId="44" fontId="7" fillId="0" borderId="11" xfId="1" applyFont="1" applyBorder="1"/>
    <xf numFmtId="44" fontId="7" fillId="0" borderId="12" xfId="1" applyFont="1" applyBorder="1"/>
    <xf numFmtId="44" fontId="7" fillId="0" borderId="13" xfId="0" applyNumberFormat="1" applyFont="1" applyBorder="1"/>
    <xf numFmtId="44" fontId="4" fillId="0" borderId="5" xfId="1" applyFont="1" applyBorder="1"/>
    <xf numFmtId="44" fontId="4" fillId="0" borderId="6" xfId="1" applyFont="1" applyBorder="1"/>
    <xf numFmtId="44" fontId="4" fillId="0" borderId="7" xfId="1" applyFont="1" applyBorder="1"/>
    <xf numFmtId="44" fontId="4" fillId="0" borderId="1" xfId="1" applyFont="1" applyBorder="1"/>
    <xf numFmtId="44" fontId="7" fillId="0" borderId="5" xfId="1" applyFont="1" applyBorder="1"/>
    <xf numFmtId="44" fontId="7" fillId="0" borderId="6" xfId="1" applyFont="1" applyBorder="1"/>
    <xf numFmtId="44" fontId="7" fillId="0" borderId="7" xfId="1" applyFont="1" applyBorder="1"/>
    <xf numFmtId="44" fontId="7" fillId="0" borderId="1" xfId="1" applyFont="1" applyBorder="1"/>
    <xf numFmtId="0" fontId="4" fillId="0" borderId="14" xfId="0" applyFont="1" applyBorder="1"/>
    <xf numFmtId="44" fontId="4" fillId="0" borderId="4" xfId="0" applyNumberFormat="1" applyFont="1" applyBorder="1"/>
    <xf numFmtId="44" fontId="4" fillId="0" borderId="2" xfId="0" applyNumberFormat="1" applyFont="1" applyBorder="1"/>
    <xf numFmtId="44" fontId="4" fillId="0" borderId="3" xfId="0" applyNumberFormat="1" applyFont="1" applyBorder="1"/>
    <xf numFmtId="0" fontId="8" fillId="0" borderId="0" xfId="0" applyFont="1"/>
    <xf numFmtId="44" fontId="8" fillId="0" borderId="11" xfId="1" applyFont="1" applyBorder="1"/>
    <xf numFmtId="44" fontId="8" fillId="0" borderId="12" xfId="1" applyFont="1" applyBorder="1"/>
    <xf numFmtId="44" fontId="8" fillId="0" borderId="13" xfId="0" applyNumberFormat="1" applyFont="1" applyBorder="1"/>
    <xf numFmtId="44" fontId="7" fillId="0" borderId="0" xfId="1" applyFont="1"/>
    <xf numFmtId="44" fontId="8" fillId="0" borderId="0" xfId="1" applyFont="1"/>
    <xf numFmtId="10" fontId="8" fillId="0" borderId="0" xfId="2" applyNumberFormat="1" applyFont="1"/>
    <xf numFmtId="44" fontId="7" fillId="0" borderId="8" xfId="1" applyFont="1" applyBorder="1"/>
    <xf numFmtId="44" fontId="7" fillId="0" borderId="9" xfId="1" applyFont="1" applyBorder="1"/>
    <xf numFmtId="44" fontId="7" fillId="0" borderId="10" xfId="0" applyNumberFormat="1" applyFont="1" applyBorder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3"/>
  <sheetViews>
    <sheetView workbookViewId="0">
      <selection activeCell="D78" sqref="D78"/>
    </sheetView>
  </sheetViews>
  <sheetFormatPr baseColWidth="10" defaultColWidth="8.83203125" defaultRowHeight="14" x14ac:dyDescent="0"/>
  <cols>
    <col min="1" max="1" width="6.5" customWidth="1"/>
    <col min="2" max="2" width="10.1640625" customWidth="1"/>
    <col min="3" max="3" width="12.6640625" bestFit="1" customWidth="1"/>
    <col min="4" max="4" width="12.5" bestFit="1" customWidth="1"/>
    <col min="5" max="6" width="11.5" bestFit="1" customWidth="1"/>
    <col min="7" max="7" width="12.5" bestFit="1" customWidth="1"/>
    <col min="8" max="8" width="13.5" customWidth="1"/>
  </cols>
  <sheetData>
    <row r="1" spans="1:8">
      <c r="A1" t="s">
        <v>126</v>
      </c>
    </row>
    <row r="3" spans="1:8">
      <c r="A3" s="5" t="s">
        <v>1</v>
      </c>
      <c r="D3" t="s">
        <v>127</v>
      </c>
    </row>
    <row r="5" spans="1:8">
      <c r="A5" t="s">
        <v>0</v>
      </c>
    </row>
    <row r="6" spans="1:8">
      <c r="B6" t="s">
        <v>2</v>
      </c>
      <c r="C6" s="1">
        <v>44547.98</v>
      </c>
      <c r="D6" s="2">
        <v>0.2802</v>
      </c>
    </row>
    <row r="7" spans="1:8">
      <c r="B7" t="s">
        <v>3</v>
      </c>
      <c r="C7" s="1">
        <v>11187.88</v>
      </c>
      <c r="D7" s="2">
        <v>7.0400000000000004E-2</v>
      </c>
    </row>
    <row r="8" spans="1:8">
      <c r="B8" t="s">
        <v>4</v>
      </c>
      <c r="C8" s="1">
        <v>12306.79</v>
      </c>
      <c r="D8" s="2">
        <v>7.7399999999999997E-2</v>
      </c>
    </row>
    <row r="9" spans="1:8">
      <c r="B9" t="s">
        <v>5</v>
      </c>
      <c r="C9" s="1">
        <v>90941.95</v>
      </c>
      <c r="D9" s="2">
        <v>0.57199999999999995</v>
      </c>
    </row>
    <row r="10" spans="1:8">
      <c r="C10" s="1">
        <f>SUM(C6:C9)</f>
        <v>158984.59999999998</v>
      </c>
      <c r="D10" s="2">
        <v>1</v>
      </c>
    </row>
    <row r="11" spans="1:8">
      <c r="B11" t="s">
        <v>53</v>
      </c>
      <c r="D11" s="6">
        <f>C10/D76</f>
        <v>2.176775390471235</v>
      </c>
    </row>
    <row r="12" spans="1:8">
      <c r="A12" t="s">
        <v>7</v>
      </c>
    </row>
    <row r="13" spans="1:8">
      <c r="C13" t="s">
        <v>2</v>
      </c>
      <c r="D13" s="2" t="s">
        <v>3</v>
      </c>
      <c r="E13" t="s">
        <v>4</v>
      </c>
      <c r="F13" t="s">
        <v>5</v>
      </c>
      <c r="G13" t="s">
        <v>13</v>
      </c>
      <c r="H13" t="s">
        <v>14</v>
      </c>
    </row>
    <row r="14" spans="1:8">
      <c r="B14" t="s">
        <v>8</v>
      </c>
      <c r="C14" s="1">
        <f>13754.08+1757</f>
        <v>15511.08</v>
      </c>
      <c r="D14" s="1">
        <f>672.51+49</f>
        <v>721.51</v>
      </c>
      <c r="E14" s="1">
        <f>3840.96+430</f>
        <v>4270.96</v>
      </c>
      <c r="F14" s="1">
        <f>14487.88+810.29</f>
        <v>15298.169999999998</v>
      </c>
      <c r="G14" s="1">
        <f t="shared" ref="G14:G19" si="0">SUM(C14:F14)</f>
        <v>35801.72</v>
      </c>
      <c r="H14" s="2">
        <f>20.6%+1.92%</f>
        <v>0.22520000000000001</v>
      </c>
    </row>
    <row r="15" spans="1:8">
      <c r="B15" t="s">
        <v>9</v>
      </c>
      <c r="C15" s="1">
        <f>820+6439.28</f>
        <v>7259.28</v>
      </c>
      <c r="D15" s="1">
        <f>905+2651.53</f>
        <v>3556.53</v>
      </c>
      <c r="E15" s="1">
        <f>1170+927.72</f>
        <v>2097.7200000000003</v>
      </c>
      <c r="F15" s="1">
        <f>20018+18575.49</f>
        <v>38593.490000000005</v>
      </c>
      <c r="G15" s="1">
        <f t="shared" si="0"/>
        <v>51507.020000000004</v>
      </c>
      <c r="H15" s="3">
        <f>14.41%+17.99%</f>
        <v>0.32399999999999995</v>
      </c>
    </row>
    <row r="16" spans="1:8">
      <c r="B16" t="s">
        <v>10</v>
      </c>
      <c r="C16" s="1">
        <f>5962+3230</f>
        <v>9192</v>
      </c>
      <c r="D16" s="1">
        <f>235+1998.28</f>
        <v>2233.2799999999997</v>
      </c>
      <c r="E16" s="1">
        <f>478+801.52</f>
        <v>1279.52</v>
      </c>
      <c r="F16" s="1">
        <f>3271.92+3371.81</f>
        <v>6643.73</v>
      </c>
      <c r="G16" s="1">
        <f t="shared" si="0"/>
        <v>19348.53</v>
      </c>
      <c r="H16" s="3">
        <f>0.0626+0.0591</f>
        <v>0.1217</v>
      </c>
    </row>
    <row r="17" spans="1:8">
      <c r="B17" t="s">
        <v>11</v>
      </c>
      <c r="C17" s="1">
        <v>937</v>
      </c>
      <c r="D17" s="1">
        <v>821</v>
      </c>
      <c r="E17" s="1">
        <v>799</v>
      </c>
      <c r="F17" s="1">
        <v>6343.8</v>
      </c>
      <c r="G17" s="1">
        <f t="shared" si="0"/>
        <v>8900.7999999999993</v>
      </c>
      <c r="H17" s="2">
        <v>5.6000000000000001E-2</v>
      </c>
    </row>
    <row r="18" spans="1:8">
      <c r="B18" t="s">
        <v>12</v>
      </c>
      <c r="C18" s="1">
        <v>1882.62</v>
      </c>
      <c r="D18" s="1">
        <v>2317.56</v>
      </c>
      <c r="E18" s="1">
        <v>2452.59</v>
      </c>
      <c r="F18" s="1">
        <v>15507.18</v>
      </c>
      <c r="G18" s="1">
        <f t="shared" si="0"/>
        <v>22159.95</v>
      </c>
      <c r="H18" s="2">
        <v>0.1394</v>
      </c>
    </row>
    <row r="19" spans="1:8">
      <c r="C19" s="4">
        <f>SUM(C14:C18)</f>
        <v>34781.980000000003</v>
      </c>
      <c r="D19" s="4">
        <f>SUM(D14:D18)</f>
        <v>9649.8799999999992</v>
      </c>
      <c r="E19" s="4">
        <f>SUM(E14:E18)</f>
        <v>10899.79</v>
      </c>
      <c r="F19" s="4">
        <f>SUM(F14:F18)</f>
        <v>82386.37</v>
      </c>
      <c r="G19" s="4">
        <f t="shared" si="0"/>
        <v>137718.01999999999</v>
      </c>
    </row>
    <row r="20" spans="1:8">
      <c r="B20" t="s">
        <v>15</v>
      </c>
      <c r="C20" s="3">
        <f>C19/C6</f>
        <v>0.78077569398208402</v>
      </c>
      <c r="D20" s="3">
        <f>D19/C7</f>
        <v>0.86252980904335763</v>
      </c>
      <c r="E20" s="3">
        <f>E19/C8</f>
        <v>0.88567286839216397</v>
      </c>
      <c r="F20" s="3">
        <f>F19/C9</f>
        <v>0.90592262426745851</v>
      </c>
      <c r="G20" s="3">
        <f>G19/C10</f>
        <v>0.86623496866992156</v>
      </c>
      <c r="H20" s="2"/>
    </row>
    <row r="23" spans="1:8">
      <c r="A23" t="s">
        <v>16</v>
      </c>
    </row>
    <row r="24" spans="1:8">
      <c r="B24" t="s">
        <v>17</v>
      </c>
    </row>
    <row r="25" spans="1:8">
      <c r="B25" t="s">
        <v>18</v>
      </c>
    </row>
    <row r="26" spans="1:8">
      <c r="B26" t="s">
        <v>19</v>
      </c>
    </row>
    <row r="27" spans="1:8">
      <c r="B27" t="s">
        <v>20</v>
      </c>
    </row>
    <row r="28" spans="1:8">
      <c r="B28" t="s">
        <v>21</v>
      </c>
    </row>
    <row r="30" spans="1:8">
      <c r="A30" s="5" t="s">
        <v>22</v>
      </c>
      <c r="D30" t="s">
        <v>6</v>
      </c>
    </row>
    <row r="32" spans="1:8">
      <c r="B32" t="s">
        <v>25</v>
      </c>
      <c r="D32">
        <v>839</v>
      </c>
    </row>
    <row r="33" spans="1:5">
      <c r="B33" t="s">
        <v>23</v>
      </c>
      <c r="D33">
        <v>1523</v>
      </c>
    </row>
    <row r="34" spans="1:5">
      <c r="B34" t="s">
        <v>24</v>
      </c>
      <c r="D34" s="1">
        <v>143228.04999999999</v>
      </c>
    </row>
    <row r="36" spans="1:5">
      <c r="A36" t="s">
        <v>30</v>
      </c>
    </row>
    <row r="37" spans="1:5">
      <c r="C37" t="s">
        <v>26</v>
      </c>
      <c r="D37" t="s">
        <v>28</v>
      </c>
      <c r="E37" t="s">
        <v>29</v>
      </c>
    </row>
    <row r="38" spans="1:5">
      <c r="C38" t="s">
        <v>27</v>
      </c>
      <c r="D38" t="s">
        <v>27</v>
      </c>
      <c r="E38" t="s">
        <v>27</v>
      </c>
    </row>
    <row r="39" spans="1:5">
      <c r="B39" t="s">
        <v>8</v>
      </c>
      <c r="C39">
        <v>435</v>
      </c>
      <c r="D39" s="1">
        <f>7112+20+33965.64</f>
        <v>41097.64</v>
      </c>
      <c r="E39" s="3">
        <f>D39/D34</f>
        <v>0.28693848725860616</v>
      </c>
    </row>
    <row r="40" spans="1:5">
      <c r="B40" t="s">
        <v>9</v>
      </c>
      <c r="C40">
        <v>593</v>
      </c>
      <c r="D40" s="1">
        <f>22745+29081.69</f>
        <v>51826.69</v>
      </c>
      <c r="E40" s="3">
        <f>D40/D34</f>
        <v>0.36184734763895765</v>
      </c>
    </row>
    <row r="41" spans="1:5">
      <c r="B41" t="s">
        <v>10</v>
      </c>
      <c r="C41">
        <v>229</v>
      </c>
      <c r="D41" s="1">
        <f>11957+8962.35+3193</f>
        <v>24112.35</v>
      </c>
      <c r="E41" s="3">
        <f>0.0729+0.0591+0.0184</f>
        <v>0.15040000000000001</v>
      </c>
    </row>
    <row r="42" spans="1:5">
      <c r="B42" t="s">
        <v>11</v>
      </c>
      <c r="C42">
        <v>91</v>
      </c>
      <c r="D42" s="1">
        <v>10217</v>
      </c>
      <c r="E42" s="2">
        <v>5.9799999999999999E-2</v>
      </c>
    </row>
    <row r="43" spans="1:5">
      <c r="C43">
        <f>SUM(C39:C42)</f>
        <v>1348</v>
      </c>
      <c r="D43" s="4">
        <f>SUM(D39:D42)</f>
        <v>127253.68</v>
      </c>
      <c r="E43" s="2">
        <f>SUM(E39:E42)</f>
        <v>0.85898583489756375</v>
      </c>
    </row>
    <row r="45" spans="1:5">
      <c r="A45" t="s">
        <v>31</v>
      </c>
    </row>
    <row r="46" spans="1:5">
      <c r="A46" t="s">
        <v>32</v>
      </c>
    </row>
    <row r="49" spans="1:5">
      <c r="A49" s="5" t="s">
        <v>39</v>
      </c>
      <c r="D49" s="8" t="s">
        <v>33</v>
      </c>
    </row>
    <row r="51" spans="1:5">
      <c r="B51" t="s">
        <v>34</v>
      </c>
      <c r="D51">
        <v>1589</v>
      </c>
    </row>
    <row r="52" spans="1:5">
      <c r="B52" t="s">
        <v>35</v>
      </c>
      <c r="D52">
        <v>3897</v>
      </c>
    </row>
    <row r="53" spans="1:5">
      <c r="B53" t="s">
        <v>36</v>
      </c>
      <c r="D53" s="6">
        <f>+D52/D51</f>
        <v>2.4524858401510383</v>
      </c>
    </row>
    <row r="54" spans="1:5">
      <c r="B54" t="s">
        <v>37</v>
      </c>
      <c r="D54" s="7">
        <f>D51/6</f>
        <v>264.83333333333331</v>
      </c>
    </row>
    <row r="55" spans="1:5">
      <c r="B55" t="s">
        <v>38</v>
      </c>
      <c r="D55" s="7">
        <f>D52/6</f>
        <v>649.5</v>
      </c>
    </row>
    <row r="57" spans="1:5">
      <c r="A57" t="s">
        <v>40</v>
      </c>
    </row>
    <row r="58" spans="1:5">
      <c r="C58" t="s">
        <v>44</v>
      </c>
      <c r="D58" t="s">
        <v>43</v>
      </c>
      <c r="E58" t="s">
        <v>45</v>
      </c>
    </row>
    <row r="59" spans="1:5">
      <c r="B59" t="s">
        <v>8</v>
      </c>
      <c r="C59">
        <v>365</v>
      </c>
      <c r="D59">
        <v>887</v>
      </c>
      <c r="E59" s="6">
        <f>D59/C59</f>
        <v>2.43013698630137</v>
      </c>
    </row>
    <row r="60" spans="1:5">
      <c r="B60" t="s">
        <v>9</v>
      </c>
      <c r="C60">
        <f>120+190</f>
        <v>310</v>
      </c>
      <c r="D60">
        <f>166+458</f>
        <v>624</v>
      </c>
      <c r="E60" s="6">
        <f t="shared" ref="E60:E64" si="1">D60/C60</f>
        <v>2.0129032258064514</v>
      </c>
    </row>
    <row r="61" spans="1:5">
      <c r="B61" t="s">
        <v>41</v>
      </c>
      <c r="C61">
        <f>186+135</f>
        <v>321</v>
      </c>
      <c r="D61">
        <f>371+261</f>
        <v>632</v>
      </c>
      <c r="E61" s="6">
        <f t="shared" si="1"/>
        <v>1.9688473520249221</v>
      </c>
    </row>
    <row r="62" spans="1:5">
      <c r="B62" t="s">
        <v>11</v>
      </c>
      <c r="C62">
        <v>29</v>
      </c>
      <c r="D62">
        <v>71</v>
      </c>
      <c r="E62" s="6">
        <f t="shared" si="1"/>
        <v>2.4482758620689653</v>
      </c>
    </row>
    <row r="63" spans="1:5">
      <c r="B63" t="s">
        <v>42</v>
      </c>
      <c r="C63">
        <f>56+20+74+143</f>
        <v>293</v>
      </c>
      <c r="D63">
        <f>135+58+140+321</f>
        <v>654</v>
      </c>
      <c r="E63" s="6">
        <f t="shared" si="1"/>
        <v>2.2320819112627985</v>
      </c>
    </row>
    <row r="64" spans="1:5">
      <c r="C64">
        <f>SUM(C59:C63)</f>
        <v>1318</v>
      </c>
      <c r="D64">
        <f>SUM(D59:D63)</f>
        <v>2868</v>
      </c>
      <c r="E64" s="6">
        <f t="shared" si="1"/>
        <v>2.1760242792109254</v>
      </c>
    </row>
    <row r="65" spans="1:5">
      <c r="B65" t="s">
        <v>46</v>
      </c>
      <c r="C65" s="3">
        <f>C64/D51</f>
        <v>0.82945248584015108</v>
      </c>
      <c r="D65" s="3">
        <f>D64/D52</f>
        <v>0.73595073133179367</v>
      </c>
    </row>
    <row r="67" spans="1:5">
      <c r="A67" t="s">
        <v>47</v>
      </c>
    </row>
    <row r="68" spans="1:5">
      <c r="A68" t="s">
        <v>48</v>
      </c>
    </row>
    <row r="70" spans="1:5">
      <c r="A70" s="5" t="s">
        <v>49</v>
      </c>
    </row>
    <row r="71" spans="1:5">
      <c r="C71" t="s">
        <v>43</v>
      </c>
      <c r="D71" t="s">
        <v>50</v>
      </c>
      <c r="E71" t="s">
        <v>51</v>
      </c>
    </row>
    <row r="72" spans="1:5">
      <c r="B72" t="s">
        <v>123</v>
      </c>
      <c r="C72">
        <v>1177</v>
      </c>
      <c r="D72" s="1">
        <v>139214.5</v>
      </c>
      <c r="E72" s="1">
        <f>D72/C72</f>
        <v>118.27909940526763</v>
      </c>
    </row>
    <row r="73" spans="1:5">
      <c r="B73" t="s">
        <v>124</v>
      </c>
      <c r="C73">
        <v>1057</v>
      </c>
      <c r="D73" s="1">
        <v>110527</v>
      </c>
      <c r="E73" s="1">
        <f t="shared" ref="E73:E76" si="2">D73/C73</f>
        <v>104.56669820245979</v>
      </c>
    </row>
    <row r="74" spans="1:5">
      <c r="B74" t="s">
        <v>125</v>
      </c>
      <c r="C74">
        <v>1663</v>
      </c>
      <c r="D74" s="1">
        <v>188479</v>
      </c>
      <c r="E74" s="1">
        <f t="shared" si="2"/>
        <v>113.33674082982562</v>
      </c>
    </row>
    <row r="75" spans="1:5">
      <c r="B75" t="s">
        <v>13</v>
      </c>
      <c r="C75">
        <f>SUM(C72:C74)</f>
        <v>3897</v>
      </c>
      <c r="D75" s="1">
        <f>SUM(D72:D74)</f>
        <v>438220.5</v>
      </c>
      <c r="E75" s="1">
        <f t="shared" si="2"/>
        <v>112.45073133179369</v>
      </c>
    </row>
    <row r="76" spans="1:5">
      <c r="B76" t="s">
        <v>52</v>
      </c>
      <c r="C76" s="7">
        <f>C75/6</f>
        <v>649.5</v>
      </c>
      <c r="D76" s="4">
        <f>D75/6</f>
        <v>73036.75</v>
      </c>
      <c r="E76" s="1">
        <f t="shared" si="2"/>
        <v>112.45073133179369</v>
      </c>
    </row>
    <row r="78" spans="1:5">
      <c r="A78" s="5" t="s">
        <v>54</v>
      </c>
    </row>
    <row r="80" spans="1:5">
      <c r="B80" t="s">
        <v>123</v>
      </c>
      <c r="C80">
        <v>11</v>
      </c>
    </row>
    <row r="81" spans="1:5">
      <c r="B81" t="s">
        <v>124</v>
      </c>
      <c r="C81">
        <v>82</v>
      </c>
    </row>
    <row r="82" spans="1:5">
      <c r="B82" t="s">
        <v>125</v>
      </c>
      <c r="C82">
        <v>20</v>
      </c>
    </row>
    <row r="83" spans="1:5">
      <c r="C83">
        <f>SUM(C80:C82)</f>
        <v>113</v>
      </c>
    </row>
    <row r="85" spans="1:5">
      <c r="A85" s="5" t="s">
        <v>55</v>
      </c>
    </row>
    <row r="86" spans="1:5">
      <c r="B86" t="s">
        <v>57</v>
      </c>
      <c r="C86" t="s">
        <v>58</v>
      </c>
      <c r="E86" t="s">
        <v>59</v>
      </c>
    </row>
    <row r="87" spans="1:5">
      <c r="B87" s="9" t="s">
        <v>67</v>
      </c>
      <c r="C87" t="s">
        <v>68</v>
      </c>
      <c r="E87">
        <v>1351</v>
      </c>
    </row>
    <row r="88" spans="1:5">
      <c r="B88" s="9" t="s">
        <v>56</v>
      </c>
      <c r="C88" t="s">
        <v>60</v>
      </c>
      <c r="E88">
        <v>723</v>
      </c>
    </row>
    <row r="89" spans="1:5">
      <c r="B89" s="9" t="s">
        <v>63</v>
      </c>
      <c r="C89" t="s">
        <v>64</v>
      </c>
      <c r="E89">
        <v>465</v>
      </c>
    </row>
    <row r="90" spans="1:5">
      <c r="B90" s="9" t="s">
        <v>75</v>
      </c>
      <c r="C90" t="s">
        <v>76</v>
      </c>
      <c r="E90">
        <v>448</v>
      </c>
    </row>
    <row r="91" spans="1:5">
      <c r="B91" s="9" t="s">
        <v>71</v>
      </c>
      <c r="C91" t="s">
        <v>72</v>
      </c>
      <c r="E91">
        <v>330</v>
      </c>
    </row>
    <row r="92" spans="1:5">
      <c r="B92" s="9" t="s">
        <v>61</v>
      </c>
      <c r="C92" t="s">
        <v>62</v>
      </c>
      <c r="E92">
        <v>218</v>
      </c>
    </row>
    <row r="93" spans="1:5">
      <c r="B93" s="9" t="s">
        <v>65</v>
      </c>
      <c r="C93" t="s">
        <v>66</v>
      </c>
      <c r="E93">
        <v>203</v>
      </c>
    </row>
    <row r="94" spans="1:5">
      <c r="B94" s="9" t="s">
        <v>69</v>
      </c>
      <c r="C94" t="s">
        <v>70</v>
      </c>
      <c r="E94">
        <v>197</v>
      </c>
    </row>
    <row r="95" spans="1:5">
      <c r="B95" s="9" t="s">
        <v>73</v>
      </c>
      <c r="C95" t="s">
        <v>74</v>
      </c>
      <c r="E95">
        <v>174</v>
      </c>
    </row>
    <row r="96" spans="1:5">
      <c r="B96" s="9" t="s">
        <v>77</v>
      </c>
      <c r="C96" t="s">
        <v>78</v>
      </c>
      <c r="E96">
        <v>160</v>
      </c>
    </row>
    <row r="97" spans="1:5">
      <c r="B97" t="s">
        <v>79</v>
      </c>
      <c r="E97" s="10">
        <f>SUM(E87:E96)</f>
        <v>4269</v>
      </c>
    </row>
    <row r="98" spans="1:5">
      <c r="B98" t="s">
        <v>80</v>
      </c>
      <c r="E98" s="11">
        <v>9538</v>
      </c>
    </row>
    <row r="99" spans="1:5">
      <c r="B99" t="s">
        <v>81</v>
      </c>
      <c r="E99" s="12">
        <f>E97/E98</f>
        <v>0.44757810861815894</v>
      </c>
    </row>
    <row r="100" spans="1:5">
      <c r="B100" t="s">
        <v>82</v>
      </c>
      <c r="E100" s="13">
        <v>540</v>
      </c>
    </row>
    <row r="101" spans="1:5">
      <c r="B101" t="s">
        <v>81</v>
      </c>
      <c r="E101" s="12">
        <f>10/540</f>
        <v>1.8518518518518517E-2</v>
      </c>
    </row>
    <row r="103" spans="1:5">
      <c r="A103" t="s">
        <v>83</v>
      </c>
    </row>
  </sheetData>
  <sortState ref="B87:E96">
    <sortCondition descending="1" ref="E87:E96"/>
  </sortState>
  <pageMargins left="0.7" right="0.7" top="0.75" bottom="0.75" header="0.3" footer="0.3"/>
  <pageSetup paperSize="0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L45"/>
  <sheetViews>
    <sheetView tabSelected="1" topLeftCell="A36" workbookViewId="0">
      <selection activeCell="A38" sqref="A38"/>
    </sheetView>
  </sheetViews>
  <sheetFormatPr baseColWidth="10" defaultColWidth="8.83203125" defaultRowHeight="14" x14ac:dyDescent="0"/>
  <cols>
    <col min="4" max="4" width="14.5" style="1" customWidth="1"/>
    <col min="5" max="5" width="13.83203125" style="1" customWidth="1"/>
    <col min="6" max="7" width="13.6640625" style="1" customWidth="1"/>
    <col min="8" max="9" width="13.83203125" style="1" customWidth="1"/>
    <col min="10" max="10" width="14.5" customWidth="1"/>
    <col min="11" max="11" width="14.6640625" bestFit="1" customWidth="1"/>
    <col min="12" max="12" width="12.5" bestFit="1" customWidth="1"/>
  </cols>
  <sheetData>
    <row r="1" spans="1:12">
      <c r="A1" s="14"/>
      <c r="B1" s="14"/>
      <c r="C1" s="14"/>
      <c r="D1" s="15"/>
      <c r="E1" s="15"/>
      <c r="F1" s="15"/>
      <c r="G1" s="15"/>
      <c r="H1" s="15"/>
      <c r="I1" s="15"/>
      <c r="J1" s="14"/>
      <c r="K1" s="14"/>
    </row>
    <row r="2" spans="1:12" ht="16">
      <c r="A2" s="14"/>
      <c r="B2" s="14"/>
      <c r="C2" s="14"/>
      <c r="D2" s="16" t="s">
        <v>89</v>
      </c>
      <c r="E2" s="16" t="s">
        <v>90</v>
      </c>
      <c r="F2" s="16" t="s">
        <v>91</v>
      </c>
      <c r="G2" s="16" t="s">
        <v>92</v>
      </c>
      <c r="H2" s="16" t="s">
        <v>93</v>
      </c>
      <c r="I2" s="16" t="s">
        <v>94</v>
      </c>
      <c r="J2" s="17"/>
      <c r="K2" s="16" t="s">
        <v>117</v>
      </c>
    </row>
    <row r="3" spans="1:12">
      <c r="A3" s="18" t="s">
        <v>84</v>
      </c>
      <c r="B3" s="14"/>
      <c r="C3" s="14"/>
      <c r="D3" s="15"/>
      <c r="E3" s="15"/>
      <c r="F3" s="15"/>
      <c r="G3" s="15"/>
      <c r="H3" s="15"/>
      <c r="I3" s="15"/>
      <c r="J3" s="19"/>
      <c r="K3" s="14"/>
    </row>
    <row r="4" spans="1:12">
      <c r="A4" s="14"/>
      <c r="B4" s="14" t="s">
        <v>119</v>
      </c>
      <c r="C4" s="14"/>
      <c r="D4" s="15">
        <v>34271.660000000003</v>
      </c>
      <c r="E4" s="15">
        <v>32970.370000000003</v>
      </c>
      <c r="F4" s="15">
        <v>38824.42</v>
      </c>
      <c r="G4" s="15">
        <v>48310.33</v>
      </c>
      <c r="H4" s="15">
        <v>33581.54</v>
      </c>
      <c r="I4" s="15">
        <v>24343.75</v>
      </c>
      <c r="J4" s="19">
        <f>SUM(D4:I4)</f>
        <v>212302.07</v>
      </c>
      <c r="K4" s="20">
        <f t="shared" ref="K4:K5" si="0">J4/$J$7</f>
        <v>0.53888661019944772</v>
      </c>
    </row>
    <row r="5" spans="1:12">
      <c r="A5" s="14"/>
      <c r="B5" s="14" t="s">
        <v>120</v>
      </c>
      <c r="C5" s="14"/>
      <c r="D5" s="15">
        <v>9772.61</v>
      </c>
      <c r="E5" s="15">
        <v>28956.45</v>
      </c>
      <c r="F5" s="15">
        <v>14832.79</v>
      </c>
      <c r="G5" s="15">
        <v>9006.7900000000009</v>
      </c>
      <c r="H5" s="15">
        <v>39309.42</v>
      </c>
      <c r="I5" s="15">
        <v>79784.14</v>
      </c>
      <c r="J5" s="19">
        <f>SUM(D5:I5)</f>
        <v>181662.2</v>
      </c>
      <c r="K5" s="20">
        <f t="shared" si="0"/>
        <v>0.46111338980055222</v>
      </c>
    </row>
    <row r="6" spans="1:12" ht="15" thickBot="1">
      <c r="A6" s="14"/>
      <c r="B6" s="14"/>
      <c r="C6" s="14"/>
      <c r="D6" s="15"/>
      <c r="E6" s="15"/>
      <c r="F6" s="15"/>
      <c r="G6" s="15"/>
      <c r="H6" s="15"/>
      <c r="I6" s="15"/>
      <c r="J6" s="14"/>
      <c r="K6" s="14"/>
    </row>
    <row r="7" spans="1:12" ht="15" thickBot="1">
      <c r="A7" s="14"/>
      <c r="B7" s="21" t="s">
        <v>13</v>
      </c>
      <c r="C7" s="14"/>
      <c r="D7" s="22">
        <f t="shared" ref="D7:I7" si="1">SUM(D4:D6)</f>
        <v>44044.270000000004</v>
      </c>
      <c r="E7" s="23">
        <f t="shared" si="1"/>
        <v>61926.820000000007</v>
      </c>
      <c r="F7" s="23">
        <f t="shared" si="1"/>
        <v>53657.21</v>
      </c>
      <c r="G7" s="23">
        <f t="shared" si="1"/>
        <v>57317.120000000003</v>
      </c>
      <c r="H7" s="23">
        <f t="shared" si="1"/>
        <v>72890.959999999992</v>
      </c>
      <c r="I7" s="23">
        <f t="shared" si="1"/>
        <v>104127.89</v>
      </c>
      <c r="J7" s="24">
        <f>SUM(D7:I7)</f>
        <v>393964.27</v>
      </c>
      <c r="K7" s="20">
        <f>J7/$J$7</f>
        <v>1</v>
      </c>
    </row>
    <row r="8" spans="1:12">
      <c r="A8" s="14"/>
      <c r="B8" s="14"/>
      <c r="C8" s="14"/>
      <c r="D8" s="15"/>
      <c r="E8" s="15"/>
      <c r="F8" s="15"/>
      <c r="G8" s="15"/>
      <c r="H8" s="15"/>
      <c r="I8" s="15"/>
      <c r="J8" s="14"/>
      <c r="K8" s="14"/>
    </row>
    <row r="9" spans="1:12">
      <c r="A9" s="18" t="s">
        <v>85</v>
      </c>
      <c r="B9" s="14"/>
      <c r="C9" s="14"/>
      <c r="D9" s="15"/>
      <c r="E9" s="15"/>
      <c r="F9" s="15"/>
      <c r="G9" s="15"/>
      <c r="H9" s="15"/>
      <c r="I9" s="15"/>
      <c r="J9" s="14"/>
      <c r="K9" s="14"/>
    </row>
    <row r="10" spans="1:12">
      <c r="A10" s="14"/>
      <c r="B10" s="14" t="s">
        <v>86</v>
      </c>
      <c r="C10" s="14"/>
      <c r="D10" s="15">
        <f>($J$10/6)</f>
        <v>20543.1675</v>
      </c>
      <c r="E10" s="15">
        <f t="shared" ref="E10:I10" si="2">($J$10/6)</f>
        <v>20543.1675</v>
      </c>
      <c r="F10" s="15">
        <f t="shared" si="2"/>
        <v>20543.1675</v>
      </c>
      <c r="G10" s="15">
        <f t="shared" si="2"/>
        <v>20543.1675</v>
      </c>
      <c r="H10" s="15">
        <f t="shared" si="2"/>
        <v>20543.1675</v>
      </c>
      <c r="I10" s="15">
        <f t="shared" si="2"/>
        <v>20543.1675</v>
      </c>
      <c r="J10" s="15">
        <f>(80205.99+92706.03+73605.99)/2</f>
        <v>123259.005</v>
      </c>
      <c r="K10" s="20">
        <f t="shared" ref="K10:K13" si="3">J10/$J$7</f>
        <v>0.31286848677927059</v>
      </c>
      <c r="L10" s="1"/>
    </row>
    <row r="11" spans="1:12">
      <c r="A11" s="14"/>
      <c r="B11" s="14" t="s">
        <v>87</v>
      </c>
      <c r="C11" s="14"/>
      <c r="D11" s="15">
        <f>$J$11/6</f>
        <v>8573.5083333333332</v>
      </c>
      <c r="E11" s="15">
        <f t="shared" ref="E11:I11" si="4">$J$11/6</f>
        <v>8573.5083333333332</v>
      </c>
      <c r="F11" s="15">
        <f t="shared" si="4"/>
        <v>8573.5083333333332</v>
      </c>
      <c r="G11" s="15">
        <f t="shared" si="4"/>
        <v>8573.5083333333332</v>
      </c>
      <c r="H11" s="15">
        <f t="shared" si="4"/>
        <v>8573.5083333333332</v>
      </c>
      <c r="I11" s="15">
        <f t="shared" si="4"/>
        <v>8573.5083333333332</v>
      </c>
      <c r="J11" s="15">
        <f>(3896.15+22022.4+28135.97+48827.58)/2</f>
        <v>51441.05</v>
      </c>
      <c r="K11" s="20">
        <f t="shared" si="3"/>
        <v>0.13057288164736361</v>
      </c>
      <c r="L11" s="1"/>
    </row>
    <row r="12" spans="1:12">
      <c r="A12" s="14"/>
      <c r="B12" s="14" t="s">
        <v>88</v>
      </c>
      <c r="C12" s="14"/>
      <c r="D12" s="15">
        <f>$J$12/6</f>
        <v>13615.475833333336</v>
      </c>
      <c r="E12" s="15">
        <f t="shared" ref="E12:I12" si="5">$J$12/6</f>
        <v>13615.475833333336</v>
      </c>
      <c r="F12" s="15">
        <f t="shared" si="5"/>
        <v>13615.475833333336</v>
      </c>
      <c r="G12" s="15">
        <f t="shared" si="5"/>
        <v>13615.475833333336</v>
      </c>
      <c r="H12" s="15">
        <f t="shared" si="5"/>
        <v>13615.475833333336</v>
      </c>
      <c r="I12" s="15">
        <f t="shared" si="5"/>
        <v>13615.475833333336</v>
      </c>
      <c r="J12" s="15">
        <f>((26272.64)+(31975.24)+25946.86+(79190.97))/2</f>
        <v>81692.85500000001</v>
      </c>
      <c r="K12" s="20">
        <f t="shared" si="3"/>
        <v>0.2073610761706893</v>
      </c>
      <c r="L12" s="1"/>
    </row>
    <row r="13" spans="1:12">
      <c r="A13" s="14"/>
      <c r="B13" s="14"/>
      <c r="C13" s="14"/>
      <c r="D13" s="25">
        <f t="shared" ref="D13:J13" si="6">SUM(D10:D12)</f>
        <v>42732.151666666672</v>
      </c>
      <c r="E13" s="26">
        <f t="shared" si="6"/>
        <v>42732.151666666672</v>
      </c>
      <c r="F13" s="26">
        <f t="shared" si="6"/>
        <v>42732.151666666672</v>
      </c>
      <c r="G13" s="26">
        <f t="shared" si="6"/>
        <v>42732.151666666672</v>
      </c>
      <c r="H13" s="26">
        <f t="shared" si="6"/>
        <v>42732.151666666672</v>
      </c>
      <c r="I13" s="27">
        <f t="shared" si="6"/>
        <v>42732.151666666672</v>
      </c>
      <c r="J13" s="28">
        <f t="shared" si="6"/>
        <v>256392.91</v>
      </c>
      <c r="K13" s="20">
        <f t="shared" si="3"/>
        <v>0.6508024445973235</v>
      </c>
    </row>
    <row r="14" spans="1:12">
      <c r="A14" s="14"/>
      <c r="B14" s="14"/>
      <c r="C14" s="14"/>
      <c r="D14" s="15"/>
      <c r="E14" s="15"/>
      <c r="F14" s="15"/>
      <c r="G14" s="15"/>
      <c r="H14" s="15"/>
      <c r="I14" s="15"/>
      <c r="J14" s="14"/>
      <c r="K14" s="15"/>
      <c r="L14" s="1"/>
    </row>
    <row r="15" spans="1:12">
      <c r="A15" s="14"/>
      <c r="B15" s="14" t="s">
        <v>95</v>
      </c>
      <c r="C15" s="14"/>
      <c r="D15" s="15">
        <f>$J$15/6</f>
        <v>1854.9449999999999</v>
      </c>
      <c r="E15" s="15">
        <f t="shared" ref="E15:I15" si="7">$J$15/6</f>
        <v>1854.9449999999999</v>
      </c>
      <c r="F15" s="15">
        <f t="shared" si="7"/>
        <v>1854.9449999999999</v>
      </c>
      <c r="G15" s="15">
        <f t="shared" si="7"/>
        <v>1854.9449999999999</v>
      </c>
      <c r="H15" s="15">
        <f t="shared" si="7"/>
        <v>1854.9449999999999</v>
      </c>
      <c r="I15" s="15">
        <f t="shared" si="7"/>
        <v>1854.9449999999999</v>
      </c>
      <c r="J15" s="15">
        <f>(8283.88+7189.93+6785.53)/2</f>
        <v>11129.67</v>
      </c>
      <c r="K15" s="20">
        <f t="shared" ref="K15:K20" si="8">J15/$J$7</f>
        <v>2.8250455301441421E-2</v>
      </c>
      <c r="L15" s="1"/>
    </row>
    <row r="16" spans="1:12">
      <c r="A16" s="14"/>
      <c r="B16" s="14" t="s">
        <v>96</v>
      </c>
      <c r="C16" s="14"/>
      <c r="D16" s="15">
        <f>$J$16/6</f>
        <v>691.71583333333331</v>
      </c>
      <c r="E16" s="15">
        <f t="shared" ref="E16:I16" si="9">$J$16/6</f>
        <v>691.71583333333331</v>
      </c>
      <c r="F16" s="15">
        <f t="shared" si="9"/>
        <v>691.71583333333331</v>
      </c>
      <c r="G16" s="15">
        <f t="shared" si="9"/>
        <v>691.71583333333331</v>
      </c>
      <c r="H16" s="15">
        <f t="shared" si="9"/>
        <v>691.71583333333331</v>
      </c>
      <c r="I16" s="15">
        <f t="shared" si="9"/>
        <v>691.71583333333331</v>
      </c>
      <c r="J16" s="15">
        <f>(1789.55+380.49+2250.32+3880.23)/2</f>
        <v>4150.2950000000001</v>
      </c>
      <c r="K16" s="20">
        <f t="shared" si="8"/>
        <v>1.0534698996942033E-2</v>
      </c>
      <c r="L16" s="1"/>
    </row>
    <row r="17" spans="1:12">
      <c r="A17" s="14"/>
      <c r="B17" s="14" t="s">
        <v>97</v>
      </c>
      <c r="C17" s="14"/>
      <c r="D17" s="15">
        <f>$J$17/6</f>
        <v>473.78888888888895</v>
      </c>
      <c r="E17" s="15">
        <f t="shared" ref="E17:I17" si="10">$J$17/6</f>
        <v>473.78888888888895</v>
      </c>
      <c r="F17" s="15">
        <f t="shared" si="10"/>
        <v>473.78888888888895</v>
      </c>
      <c r="G17" s="15">
        <f t="shared" si="10"/>
        <v>473.78888888888895</v>
      </c>
      <c r="H17" s="15">
        <f t="shared" si="10"/>
        <v>473.78888888888895</v>
      </c>
      <c r="I17" s="15">
        <f t="shared" si="10"/>
        <v>473.78888888888895</v>
      </c>
      <c r="J17" s="15">
        <f>+((2107.77/3)+(2544.02/3)+(6156.03/3)+2082.86)/2</f>
        <v>2842.7333333333336</v>
      </c>
      <c r="K17" s="20">
        <f t="shared" si="8"/>
        <v>7.2157135806588078E-3</v>
      </c>
      <c r="L17" s="1"/>
    </row>
    <row r="18" spans="1:12">
      <c r="A18" s="14"/>
      <c r="B18" s="14"/>
      <c r="C18" s="14"/>
      <c r="D18" s="25">
        <f>SUM(D15:D17)</f>
        <v>3020.4497222222221</v>
      </c>
      <c r="E18" s="26">
        <f t="shared" ref="E18:I18" si="11">SUM(E15:E17)</f>
        <v>3020.4497222222221</v>
      </c>
      <c r="F18" s="26">
        <f t="shared" si="11"/>
        <v>3020.4497222222221</v>
      </c>
      <c r="G18" s="26">
        <f t="shared" si="11"/>
        <v>3020.4497222222221</v>
      </c>
      <c r="H18" s="26">
        <f t="shared" si="11"/>
        <v>3020.4497222222221</v>
      </c>
      <c r="I18" s="27">
        <f t="shared" si="11"/>
        <v>3020.4497222222221</v>
      </c>
      <c r="J18" s="28">
        <f>SUM(J15:J17)</f>
        <v>18122.698333333334</v>
      </c>
      <c r="K18" s="20">
        <f t="shared" si="8"/>
        <v>4.6000867879042263E-2</v>
      </c>
    </row>
    <row r="19" spans="1:12">
      <c r="A19" s="14"/>
      <c r="B19" s="14"/>
      <c r="C19" s="14"/>
      <c r="D19" s="15"/>
      <c r="E19" s="15"/>
      <c r="F19" s="15"/>
      <c r="G19" s="15"/>
      <c r="H19" s="15"/>
      <c r="I19" s="15"/>
      <c r="J19" s="14"/>
      <c r="K19" s="15"/>
      <c r="L19" s="1"/>
    </row>
    <row r="20" spans="1:12">
      <c r="A20" s="14"/>
      <c r="B20" s="21" t="s">
        <v>13</v>
      </c>
      <c r="C20" s="14"/>
      <c r="D20" s="29">
        <f>D13+D18</f>
        <v>45752.601388888892</v>
      </c>
      <c r="E20" s="30">
        <f t="shared" ref="E20:I20" si="12">E13+E18</f>
        <v>45752.601388888892</v>
      </c>
      <c r="F20" s="30">
        <f t="shared" si="12"/>
        <v>45752.601388888892</v>
      </c>
      <c r="G20" s="30">
        <f t="shared" si="12"/>
        <v>45752.601388888892</v>
      </c>
      <c r="H20" s="30">
        <f t="shared" si="12"/>
        <v>45752.601388888892</v>
      </c>
      <c r="I20" s="31">
        <f t="shared" si="12"/>
        <v>45752.601388888892</v>
      </c>
      <c r="J20" s="32">
        <f>J13+J18</f>
        <v>274515.60833333334</v>
      </c>
      <c r="K20" s="20">
        <f t="shared" si="8"/>
        <v>0.69680331247636573</v>
      </c>
    </row>
    <row r="21" spans="1:12">
      <c r="A21" s="14"/>
      <c r="B21" s="14"/>
      <c r="C21" s="14"/>
      <c r="D21" s="15"/>
      <c r="E21" s="15"/>
      <c r="F21" s="15"/>
      <c r="G21" s="15"/>
      <c r="H21" s="15"/>
      <c r="I21" s="15"/>
      <c r="J21" s="14"/>
      <c r="K21" s="14"/>
    </row>
    <row r="22" spans="1:12">
      <c r="A22" s="33" t="s">
        <v>98</v>
      </c>
      <c r="B22" s="14"/>
      <c r="C22" s="14"/>
      <c r="D22" s="15"/>
      <c r="E22" s="15"/>
      <c r="F22" s="15"/>
      <c r="G22" s="15"/>
      <c r="H22" s="15"/>
      <c r="I22" s="15"/>
      <c r="J22" s="14"/>
      <c r="K22" s="14"/>
    </row>
    <row r="23" spans="1:12">
      <c r="A23" s="14"/>
      <c r="B23" s="14" t="s">
        <v>100</v>
      </c>
      <c r="C23" s="14"/>
      <c r="D23" s="15">
        <v>20</v>
      </c>
      <c r="E23" s="15">
        <v>20</v>
      </c>
      <c r="F23" s="15">
        <v>564</v>
      </c>
      <c r="G23" s="15">
        <v>1493</v>
      </c>
      <c r="H23" s="15">
        <f>30+99.69+530</f>
        <v>659.69</v>
      </c>
      <c r="I23" s="15">
        <v>98</v>
      </c>
      <c r="J23" s="34">
        <f t="shared" ref="J23:J40" si="13">SUM(D23:I23)</f>
        <v>2854.69</v>
      </c>
      <c r="K23" s="20">
        <f>J23/$J$7</f>
        <v>7.2460632026351019E-3</v>
      </c>
    </row>
    <row r="24" spans="1:12">
      <c r="A24" s="14"/>
      <c r="B24" s="14" t="s">
        <v>99</v>
      </c>
      <c r="C24" s="14"/>
      <c r="D24" s="15">
        <f>9326.61+208.86</f>
        <v>9535.4700000000012</v>
      </c>
      <c r="E24" s="15">
        <f>17779.12+208.86</f>
        <v>17987.98</v>
      </c>
      <c r="F24" s="15">
        <v>342.7</v>
      </c>
      <c r="G24" s="15">
        <f>9966.69+2590+208.86</f>
        <v>12765.550000000001</v>
      </c>
      <c r="H24" s="15">
        <f>8930.21+208.86</f>
        <v>9139.07</v>
      </c>
      <c r="I24" s="15">
        <v>10135.629999999999</v>
      </c>
      <c r="J24" s="35">
        <f t="shared" si="13"/>
        <v>59906.400000000001</v>
      </c>
      <c r="K24" s="20">
        <f t="shared" ref="K24:K41" si="14">J24/$J$7</f>
        <v>0.1520604901556174</v>
      </c>
    </row>
    <row r="25" spans="1:12">
      <c r="A25" s="14"/>
      <c r="B25" s="14" t="s">
        <v>101</v>
      </c>
      <c r="C25" s="14"/>
      <c r="D25" s="15">
        <v>400</v>
      </c>
      <c r="E25" s="15">
        <v>400</v>
      </c>
      <c r="F25" s="15">
        <v>525</v>
      </c>
      <c r="G25" s="15">
        <v>400</v>
      </c>
      <c r="H25" s="15">
        <v>400</v>
      </c>
      <c r="I25" s="15">
        <v>3300</v>
      </c>
      <c r="J25" s="35">
        <f t="shared" si="13"/>
        <v>5425</v>
      </c>
      <c r="K25" s="20">
        <f t="shared" si="14"/>
        <v>1.3770284295070717E-2</v>
      </c>
    </row>
    <row r="26" spans="1:12">
      <c r="A26" s="14"/>
      <c r="B26" s="14" t="s">
        <v>118</v>
      </c>
      <c r="C26" s="14"/>
      <c r="D26" s="15"/>
      <c r="E26" s="15">
        <v>300</v>
      </c>
      <c r="F26" s="15">
        <v>600</v>
      </c>
      <c r="G26" s="15"/>
      <c r="H26" s="15"/>
      <c r="I26" s="15"/>
      <c r="J26" s="35">
        <f t="shared" si="13"/>
        <v>900</v>
      </c>
      <c r="K26" s="20">
        <f t="shared" si="14"/>
        <v>2.2844711272928379E-3</v>
      </c>
    </row>
    <row r="27" spans="1:12">
      <c r="A27" s="14"/>
      <c r="B27" s="14" t="s">
        <v>113</v>
      </c>
      <c r="C27" s="14"/>
      <c r="D27" s="15">
        <v>222.5</v>
      </c>
      <c r="E27" s="15"/>
      <c r="F27" s="15"/>
      <c r="G27" s="15">
        <v>275.87</v>
      </c>
      <c r="H27" s="15">
        <v>125</v>
      </c>
      <c r="I27" s="15"/>
      <c r="J27" s="35">
        <f t="shared" si="13"/>
        <v>623.37</v>
      </c>
      <c r="K27" s="20">
        <f t="shared" si="14"/>
        <v>1.582300851800596E-3</v>
      </c>
    </row>
    <row r="28" spans="1:12">
      <c r="A28" s="14"/>
      <c r="B28" s="14" t="s">
        <v>102</v>
      </c>
      <c r="C28" s="14"/>
      <c r="D28" s="15">
        <v>301.42</v>
      </c>
      <c r="E28" s="15">
        <v>295.02999999999997</v>
      </c>
      <c r="F28" s="15">
        <v>293.05</v>
      </c>
      <c r="G28" s="15">
        <v>339.76</v>
      </c>
      <c r="H28" s="15">
        <v>321.52</v>
      </c>
      <c r="I28" s="15">
        <v>328.76</v>
      </c>
      <c r="J28" s="35">
        <f t="shared" si="13"/>
        <v>1879.54</v>
      </c>
      <c r="K28" s="20">
        <f t="shared" si="14"/>
        <v>4.770838736213312E-3</v>
      </c>
    </row>
    <row r="29" spans="1:12">
      <c r="A29" s="14"/>
      <c r="B29" s="14" t="s">
        <v>114</v>
      </c>
      <c r="C29" s="14"/>
      <c r="D29" s="15"/>
      <c r="E29" s="15">
        <v>442.9</v>
      </c>
      <c r="F29" s="15"/>
      <c r="G29" s="15"/>
      <c r="H29" s="15">
        <v>321.74</v>
      </c>
      <c r="I29" s="15"/>
      <c r="J29" s="35">
        <f t="shared" si="13"/>
        <v>764.64</v>
      </c>
      <c r="K29" s="20">
        <f t="shared" si="14"/>
        <v>1.9408866697479951E-3</v>
      </c>
    </row>
    <row r="30" spans="1:12">
      <c r="A30" s="14"/>
      <c r="B30" s="14" t="s">
        <v>103</v>
      </c>
      <c r="C30" s="14"/>
      <c r="D30" s="15">
        <v>515</v>
      </c>
      <c r="E30" s="15">
        <v>398.48</v>
      </c>
      <c r="F30" s="15">
        <v>281.25</v>
      </c>
      <c r="G30" s="15">
        <v>440.41</v>
      </c>
      <c r="H30" s="15">
        <v>320.87</v>
      </c>
      <c r="I30" s="15">
        <v>320.87</v>
      </c>
      <c r="J30" s="35">
        <f t="shared" si="13"/>
        <v>2276.88</v>
      </c>
      <c r="K30" s="20">
        <f t="shared" si="14"/>
        <v>5.7794073559005741E-3</v>
      </c>
    </row>
    <row r="31" spans="1:12">
      <c r="A31" s="14"/>
      <c r="B31" s="14" t="s">
        <v>104</v>
      </c>
      <c r="C31" s="14"/>
      <c r="D31" s="15">
        <v>154</v>
      </c>
      <c r="E31" s="15">
        <v>168.52</v>
      </c>
      <c r="F31" s="15">
        <v>3663</v>
      </c>
      <c r="G31" s="15"/>
      <c r="H31" s="15"/>
      <c r="I31" s="15">
        <v>1816.99</v>
      </c>
      <c r="J31" s="35">
        <f t="shared" si="13"/>
        <v>5802.51</v>
      </c>
      <c r="K31" s="20">
        <f t="shared" si="14"/>
        <v>1.4728518400919962E-2</v>
      </c>
    </row>
    <row r="32" spans="1:12">
      <c r="A32" s="14"/>
      <c r="B32" s="14" t="s">
        <v>105</v>
      </c>
      <c r="C32" s="14"/>
      <c r="D32" s="15"/>
      <c r="E32" s="15">
        <v>783.2</v>
      </c>
      <c r="F32" s="15"/>
      <c r="G32" s="15">
        <v>2508.6999999999998</v>
      </c>
      <c r="H32" s="15"/>
      <c r="I32" s="15">
        <v>2466.19</v>
      </c>
      <c r="J32" s="35">
        <f t="shared" si="13"/>
        <v>5758.09</v>
      </c>
      <c r="K32" s="20">
        <f t="shared" si="14"/>
        <v>1.4615767059281796E-2</v>
      </c>
    </row>
    <row r="33" spans="1:11">
      <c r="A33" s="14"/>
      <c r="B33" s="14" t="s">
        <v>106</v>
      </c>
      <c r="C33" s="14"/>
      <c r="D33" s="15"/>
      <c r="E33" s="15"/>
      <c r="F33" s="15"/>
      <c r="G33" s="15">
        <v>1530</v>
      </c>
      <c r="H33" s="15"/>
      <c r="I33" s="15"/>
      <c r="J33" s="35">
        <f t="shared" si="13"/>
        <v>1530</v>
      </c>
      <c r="K33" s="20">
        <f t="shared" si="14"/>
        <v>3.8836009163978245E-3</v>
      </c>
    </row>
    <row r="34" spans="1:11">
      <c r="A34" s="14"/>
      <c r="B34" s="14" t="s">
        <v>107</v>
      </c>
      <c r="C34" s="14"/>
      <c r="D34" s="15">
        <v>1168.46</v>
      </c>
      <c r="E34" s="15">
        <v>315.52999999999997</v>
      </c>
      <c r="F34" s="15">
        <v>1476.73</v>
      </c>
      <c r="G34" s="15">
        <v>499.04</v>
      </c>
      <c r="H34" s="15">
        <f>317.62+385.43</f>
        <v>703.05</v>
      </c>
      <c r="I34" s="15">
        <v>320.36</v>
      </c>
      <c r="J34" s="35">
        <f t="shared" si="13"/>
        <v>4483.17</v>
      </c>
      <c r="K34" s="20">
        <f t="shared" si="14"/>
        <v>1.1379636026383814E-2</v>
      </c>
    </row>
    <row r="35" spans="1:11">
      <c r="A35" s="14"/>
      <c r="B35" s="14" t="s">
        <v>108</v>
      </c>
      <c r="C35" s="14"/>
      <c r="D35" s="15">
        <v>401.14</v>
      </c>
      <c r="E35" s="15">
        <v>313.58</v>
      </c>
      <c r="F35" s="15">
        <v>612.27</v>
      </c>
      <c r="G35" s="15">
        <v>314.13</v>
      </c>
      <c r="H35" s="15">
        <v>425.34</v>
      </c>
      <c r="I35" s="15">
        <v>513.46</v>
      </c>
      <c r="J35" s="35">
        <f t="shared" si="13"/>
        <v>2579.92</v>
      </c>
      <c r="K35" s="20">
        <f t="shared" si="14"/>
        <v>6.5486141674725986E-3</v>
      </c>
    </row>
    <row r="36" spans="1:11">
      <c r="A36" s="14"/>
      <c r="B36" s="14" t="s">
        <v>109</v>
      </c>
      <c r="C36" s="14"/>
      <c r="D36" s="15">
        <v>345.28</v>
      </c>
      <c r="E36" s="15">
        <v>12408.47</v>
      </c>
      <c r="F36" s="15">
        <v>3002.84</v>
      </c>
      <c r="G36" s="15">
        <v>1589.68</v>
      </c>
      <c r="H36" s="15">
        <v>4369.62</v>
      </c>
      <c r="I36" s="15">
        <v>975.94</v>
      </c>
      <c r="J36" s="35">
        <f t="shared" si="13"/>
        <v>22691.829999999998</v>
      </c>
      <c r="K36" s="20">
        <f t="shared" si="14"/>
        <v>5.7598700511597149E-2</v>
      </c>
    </row>
    <row r="37" spans="1:11">
      <c r="A37" s="14"/>
      <c r="B37" s="14" t="s">
        <v>110</v>
      </c>
      <c r="C37" s="14"/>
      <c r="D37" s="15">
        <v>314.19</v>
      </c>
      <c r="E37" s="15">
        <v>378.72</v>
      </c>
      <c r="F37" s="15">
        <v>378.72</v>
      </c>
      <c r="G37" s="15">
        <v>420.87</v>
      </c>
      <c r="H37" s="15">
        <v>379.94</v>
      </c>
      <c r="I37" s="15">
        <v>379.94</v>
      </c>
      <c r="J37" s="35">
        <f t="shared" si="13"/>
        <v>2252.38</v>
      </c>
      <c r="K37" s="20">
        <f t="shared" si="14"/>
        <v>5.7172189752131581E-3</v>
      </c>
    </row>
    <row r="38" spans="1:11">
      <c r="A38" s="14"/>
      <c r="B38" s="14" t="s">
        <v>111</v>
      </c>
      <c r="C38" s="14"/>
      <c r="D38" s="15">
        <v>946.16</v>
      </c>
      <c r="E38" s="15">
        <v>1114.53</v>
      </c>
      <c r="F38" s="15">
        <v>4028.36</v>
      </c>
      <c r="G38" s="15">
        <v>978.59</v>
      </c>
      <c r="H38" s="15">
        <v>758.71</v>
      </c>
      <c r="I38" s="15">
        <v>852.25</v>
      </c>
      <c r="J38" s="35">
        <f t="shared" si="13"/>
        <v>8678.6</v>
      </c>
      <c r="K38" s="20">
        <f t="shared" si="14"/>
        <v>2.202890125035958E-2</v>
      </c>
    </row>
    <row r="39" spans="1:11">
      <c r="A39" s="14"/>
      <c r="B39" s="14" t="s">
        <v>112</v>
      </c>
      <c r="C39" s="14"/>
      <c r="D39" s="15">
        <v>14.05</v>
      </c>
      <c r="E39" s="15">
        <v>16.52</v>
      </c>
      <c r="F39" s="15">
        <v>14.28</v>
      </c>
      <c r="G39" s="15">
        <v>16.989999999999998</v>
      </c>
      <c r="H39" s="15">
        <v>15.88</v>
      </c>
      <c r="I39" s="15">
        <v>15.24</v>
      </c>
      <c r="J39" s="36">
        <f t="shared" si="13"/>
        <v>92.96</v>
      </c>
      <c r="K39" s="20">
        <f t="shared" si="14"/>
        <v>2.3596048443682465E-4</v>
      </c>
    </row>
    <row r="40" spans="1:11" ht="15" thickBot="1">
      <c r="A40" s="14"/>
      <c r="B40" s="21" t="s">
        <v>115</v>
      </c>
      <c r="C40" s="21"/>
      <c r="D40" s="44">
        <f t="shared" ref="D40:I40" si="15">SUM(D23:D39)</f>
        <v>14337.670000000002</v>
      </c>
      <c r="E40" s="45">
        <f t="shared" si="15"/>
        <v>35343.46</v>
      </c>
      <c r="F40" s="45">
        <f t="shared" si="15"/>
        <v>15782.2</v>
      </c>
      <c r="G40" s="45">
        <f t="shared" si="15"/>
        <v>23572.590000000004</v>
      </c>
      <c r="H40" s="45">
        <f t="shared" si="15"/>
        <v>17940.43</v>
      </c>
      <c r="I40" s="45">
        <f t="shared" si="15"/>
        <v>21523.629999999997</v>
      </c>
      <c r="J40" s="46">
        <f t="shared" si="13"/>
        <v>128499.98000000001</v>
      </c>
      <c r="K40" s="20">
        <f t="shared" si="14"/>
        <v>0.32617166018634125</v>
      </c>
    </row>
    <row r="41" spans="1:11" ht="15" thickBot="1">
      <c r="A41" s="37" t="s">
        <v>121</v>
      </c>
      <c r="B41" s="14"/>
      <c r="C41" s="14"/>
      <c r="D41" s="38">
        <f>D20+D40</f>
        <v>60090.271388888897</v>
      </c>
      <c r="E41" s="39">
        <f t="shared" ref="E41:I41" si="16">E20+E40</f>
        <v>81096.061388888891</v>
      </c>
      <c r="F41" s="39">
        <f t="shared" si="16"/>
        <v>61534.801388888896</v>
      </c>
      <c r="G41" s="39">
        <f t="shared" si="16"/>
        <v>69325.191388888896</v>
      </c>
      <c r="H41" s="39">
        <f t="shared" si="16"/>
        <v>63693.031388888892</v>
      </c>
      <c r="I41" s="39">
        <f t="shared" si="16"/>
        <v>67276.231388888889</v>
      </c>
      <c r="J41" s="40">
        <f>SUM(D41:I41)</f>
        <v>403015.58833333344</v>
      </c>
      <c r="K41" s="20">
        <f t="shared" si="14"/>
        <v>1.0229749726627073</v>
      </c>
    </row>
    <row r="42" spans="1:11">
      <c r="A42" s="14"/>
      <c r="B42" s="14"/>
      <c r="C42" s="14"/>
      <c r="D42" s="15"/>
      <c r="E42" s="15"/>
      <c r="F42" s="15"/>
      <c r="G42" s="15"/>
      <c r="H42" s="15"/>
      <c r="I42" s="15"/>
      <c r="J42" s="14"/>
      <c r="K42" s="14"/>
    </row>
    <row r="43" spans="1:11">
      <c r="A43" s="14"/>
      <c r="B43" s="14"/>
      <c r="C43" s="14"/>
      <c r="D43" s="15"/>
      <c r="E43" s="15"/>
      <c r="F43" s="15"/>
      <c r="G43" s="15"/>
      <c r="H43" s="15"/>
      <c r="I43" s="15"/>
      <c r="J43" s="14"/>
      <c r="K43" s="14"/>
    </row>
    <row r="44" spans="1:11">
      <c r="A44" s="14"/>
      <c r="B44" s="37" t="s">
        <v>116</v>
      </c>
      <c r="C44" s="21"/>
      <c r="D44" s="41">
        <f>D7-D41</f>
        <v>-16046.001388888893</v>
      </c>
      <c r="E44" s="41">
        <f t="shared" ref="E44:I44" si="17">E7-E41</f>
        <v>-19169.241388888884</v>
      </c>
      <c r="F44" s="41">
        <f t="shared" si="17"/>
        <v>-7877.5913888888972</v>
      </c>
      <c r="G44" s="41">
        <f t="shared" si="17"/>
        <v>-12008.071388888893</v>
      </c>
      <c r="H44" s="41">
        <f t="shared" si="17"/>
        <v>9197.9286111110996</v>
      </c>
      <c r="I44" s="41">
        <f t="shared" si="17"/>
        <v>36851.65861111111</v>
      </c>
      <c r="J44" s="42">
        <f>J7-J20-J40</f>
        <v>-9051.3183333333291</v>
      </c>
      <c r="K44" s="43">
        <f>J44/$J$7</f>
        <v>-2.2974972662707024E-2</v>
      </c>
    </row>
    <row r="45" spans="1:11">
      <c r="A45" s="14"/>
      <c r="B45" s="37" t="s">
        <v>122</v>
      </c>
      <c r="C45" s="21"/>
      <c r="D45" s="41"/>
      <c r="E45" s="41">
        <f>E44+D44</f>
        <v>-35215.242777777778</v>
      </c>
      <c r="F45" s="41">
        <f>E45+F44</f>
        <v>-43092.834166666675</v>
      </c>
      <c r="G45" s="41">
        <f t="shared" ref="G45:I45" si="18">F45+G44</f>
        <v>-55100.905555555568</v>
      </c>
      <c r="H45" s="41">
        <f t="shared" si="18"/>
        <v>-45902.976944444468</v>
      </c>
      <c r="I45" s="41">
        <f t="shared" si="18"/>
        <v>-9051.3183333333582</v>
      </c>
      <c r="J45" s="21"/>
      <c r="K45" s="21"/>
    </row>
  </sheetData>
  <pageMargins left="0.7" right="0.7" top="0.75" bottom="0.75" header="0.3" footer="0.3"/>
  <pageSetup scale="76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B5"/>
    </sheetView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rgilbert</dc:creator>
  <cp:lastModifiedBy>Kassie Clarke</cp:lastModifiedBy>
  <cp:lastPrinted>2013-03-07T13:56:17Z</cp:lastPrinted>
  <dcterms:created xsi:type="dcterms:W3CDTF">2013-03-06T17:20:07Z</dcterms:created>
  <dcterms:modified xsi:type="dcterms:W3CDTF">2017-07-13T14:44:47Z</dcterms:modified>
</cp:coreProperties>
</file>